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1.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422" firstSheet="0" activeTab="0"/>
  </bookViews>
  <sheets>
    <sheet name="Sheet1" sheetId="1" state="visible" r:id="rId2"/>
  </sheets>
  <calcPr iterateCount="100" refMode="A1" iterate="false" iterateDelta="0.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A20" authorId="0">
      <text>
        <r>
          <rPr>
            <sz val="10"/>
            <rFont val="Arial"/>
            <family val="2"/>
          </rPr>
          <t xml:space="preserve">Belbruno's recommendations: Use HTSD propulsion or one of sufficient thrust such that the time of burn to impart the required DeltaV to the vehicle does not exceed more than a few minutes and can therefore be a minute fraction of the overall orbital period time.  This gives credence to an impulsive DeltaV  assumption for analysis.</t>
        </r>
      </text>
    </comment>
    <comment ref="A52" authorId="0">
      <text>
        <r>
          <rPr>
            <sz val="10"/>
            <rFont val="Arial"/>
            <family val="2"/>
          </rPr>
          <t xml:space="preserve">Correction maneuvers use constant and initial vehicle mass as they can happen any time during the mission.  Therefore, most conservative and worst case scenario is used.</t>
        </r>
      </text>
    </comment>
    <comment ref="B24" authorId="0">
      <text>
        <r>
          <rPr>
            <sz val="10"/>
            <rFont val="Arial"/>
            <family val="2"/>
          </rPr>
          <t xml:space="preserve">Assumed baseline.</t>
        </r>
      </text>
    </comment>
    <comment ref="B27" authorId="0">
      <text>
        <r>
          <rPr>
            <sz val="10"/>
            <color rgb="FF000000"/>
            <rFont val="Arial"/>
            <family val="2"/>
          </rPr>
          <t xml:space="preserve">AIAA Paper:
Design, Optimization, and Launch of a 3” Diameter N2O/Aluminized Paraffin Rocket
Anthony McCormick, Eric Hultgren, Martin Lichtman, Jadon Smith, Ryan Sneed, and Shaun Azimi.
Stanford University, Stanford, CA, 94305.
Page 3.</t>
        </r>
      </text>
    </comment>
    <comment ref="B31" authorId="0">
      <text>
        <r>
          <rPr>
            <sz val="10"/>
            <rFont val="Arial"/>
            <family val="2"/>
          </rPr>
          <t xml:space="preserve">Red marks the highest thrust possible at 1-g acceleration limit.</t>
        </r>
      </text>
    </comment>
    <comment ref="B64" authorId="0">
      <text>
        <r>
          <rPr>
            <sz val="10"/>
            <color rgb="FF000000"/>
            <rFont val="Arial"/>
            <family val="2"/>
          </rPr>
          <t xml:space="preserve">AIAA Paper:
Design, Optimization, and Launch of a 3” Diameter N2O/Aluminized Paraffin Rocket
Anthony McCormick, Eric Hultgren, Martin Lichtman, Jadon Smith, Ryan Sneed, and Shaun Azimi.
Stanford University, Stanford, CA, 94305.
Optimal per Page 3.</t>
        </r>
      </text>
    </comment>
    <comment ref="B66" authorId="0">
      <text>
        <r>
          <rPr>
            <sz val="10"/>
            <color rgb="FF000000"/>
            <rFont val="Arial"/>
            <family val="2"/>
          </rPr>
          <t xml:space="preserve">AIAA Paper:
Design, Optimization, and Launch of a 3” Diameter N2O/Aluminized Paraffin Rocket
Anthony McCormick, Eric Hultgren, Martin Lichtman, Jadon Smith, Ryan Sneed, and Shaun Azimi.
Stanford University, Stanford, CA, 94305.
P</t>
        </r>
        <r>
          <rPr>
            <sz val="10"/>
            <rFont val="Arial"/>
            <family val="2"/>
          </rPr>
          <t xml:space="preserve">age 3.</t>
        </r>
      </text>
    </comment>
    <comment ref="B67" authorId="0">
      <text>
        <r>
          <rPr>
            <sz val="10"/>
            <color rgb="FF000000"/>
            <rFont val="Arial"/>
            <family val="2"/>
          </rPr>
          <t xml:space="preserve">AIAA Paper:
Design, Optimization, and Launch of a 3” Diameter N2O/Aluminized Paraffin Rocket
Anthony McCormick, Eric Hultgren, Martin Lichtman, Jadon Smith, Ryan Sneed, and Shaun Azimi.
Stanford University, Stanford, CA, 94305.
Page 3.</t>
        </r>
      </text>
    </comment>
    <comment ref="C24" authorId="0">
      <text>
        <r>
          <rPr>
            <sz val="10"/>
            <rFont val="Arial"/>
            <family val="2"/>
          </rPr>
          <t xml:space="preserve">Specifications on Thrust, propellant and I_sp from Manufacturer's Factsheet.</t>
        </r>
      </text>
    </comment>
    <comment ref="C67" authorId="0">
      <text>
        <r>
          <rPr>
            <sz val="10"/>
            <rFont val="Arial"/>
            <family val="2"/>
          </rPr>
          <t xml:space="preserve">Assuming solid storage of Iodine.
Ref Wikipedia: https://en.wikipedia.org/wiki/Iodine</t>
        </r>
      </text>
    </comment>
    <comment ref="E24" authorId="0">
      <text>
        <r>
          <rPr>
            <sz val="10"/>
            <rFont val="Arial"/>
            <family val="2"/>
          </rPr>
          <t xml:space="preserve">Specifications on Thrust, propellant and I_sp from Manufacturer's Factsheet.</t>
        </r>
      </text>
    </comment>
  </commentList>
</comments>
</file>

<file path=xl/sharedStrings.xml><?xml version="1.0" encoding="utf-8"?>
<sst xmlns="http://schemas.openxmlformats.org/spreadsheetml/2006/main" count="164" uniqueCount="87">
  <si>
    <t>Belbruno Trajectory &amp; Propulsion Capabilities Analysis</t>
  </si>
  <si>
    <t>Universe Constants</t>
  </si>
  <si>
    <r>
      <t xml:space="preserve">Developed by Ethan Chew (</t>
    </r>
    <r>
      <rPr>
        <sz val="10"/>
        <color rgb="FF0000FF"/>
        <rFont val="Arial"/>
        <family val="2"/>
      </rPr>
      <t xml:space="preserve">shinen.chew@gmail.com</t>
    </r>
    <r>
      <rPr>
        <sz val="10"/>
        <rFont val="Arial"/>
        <family val="2"/>
      </rPr>
      <t xml:space="preserve">) for Alpha CubeSat GT-2 Propulsion Report on 2/5/16</t>
    </r>
  </si>
  <si>
    <t>g_0</t>
  </si>
  <si>
    <t>m/s^2</t>
  </si>
  <si>
    <t>For I_sp, Surface of Earth gravitational acceleration.</t>
  </si>
  <si>
    <t>Belbruno Trajectory Definition</t>
  </si>
  <si>
    <t>ACS Vehicle Definitions</t>
  </si>
  <si>
    <t>Notes</t>
  </si>
  <si>
    <t>From LEO-4Mkm</t>
  </si>
  <si>
    <t>Vehicle Mass</t>
  </si>
  <si>
    <t>kg</t>
  </si>
  <si>
    <t>Per the competition requirements on maximum vehicle wet mass.</t>
  </si>
  <si>
    <t>Vp</t>
  </si>
  <si>
    <t>m/s</t>
  </si>
  <si>
    <t>Gray indicates provision by Launch Vehicle.</t>
  </si>
  <si>
    <t>Max Accel Limit</t>
  </si>
  <si>
    <t>Per the structural limitation of the ACS vehicle deployables for in-space manuevers.</t>
  </si>
  <si>
    <t>LEO-4Mkm Leg Flight Time</t>
  </si>
  <si>
    <t>days</t>
  </si>
  <si>
    <t>From 4Mkm-Lunar Intercept</t>
  </si>
  <si>
    <t>DeltaV(ra)</t>
  </si>
  <si>
    <t>Black indicates provision by ACS Vehicle.</t>
  </si>
  <si>
    <t>Entry to Lunar Orbit</t>
  </si>
  <si>
    <t>DeltaV1(rp(M))</t>
  </si>
  <si>
    <t>Initial Entry into Lunar Orbit.</t>
  </si>
  <si>
    <t>DeltaV2(rp(M))</t>
  </si>
  <si>
    <t>Shaping of Lunar Orbit to meet NASA CubeQuest Competition Requirements.</t>
  </si>
  <si>
    <t>4Mkm-Lunar Orbit Leg Flight Time</t>
  </si>
  <si>
    <t>Contingency</t>
  </si>
  <si>
    <t>DeltaV(Corr)</t>
  </si>
  <si>
    <t>Reservation for correction maneuvers.</t>
  </si>
  <si>
    <t>Total DeltaV</t>
  </si>
  <si>
    <t>Required of ACS Vehicle.</t>
  </si>
  <si>
    <t>Total Flight Time</t>
  </si>
  <si>
    <t>Propulsion System Requirements</t>
  </si>
  <si>
    <t>For Propulsion Systems Operating at Maximum Thrust Limit</t>
  </si>
  <si>
    <t>Propulsion System</t>
  </si>
  <si>
    <t>Baseline Hybrid Propulsion System, 3” Diameter</t>
  </si>
  <si>
    <t>Phase 4 CAT (P4-50) Ambipolar Thruster</t>
  </si>
  <si>
    <t>Tethers Unlimited HYDROS Thruster</t>
  </si>
  <si>
    <t>Busek BIT-1 Ion Thruster</t>
  </si>
  <si>
    <t>Propellant</t>
  </si>
  <si>
    <t>N2O-40% Aluminized Paraffin</t>
  </si>
  <si>
    <t>Iodine</t>
  </si>
  <si>
    <t>Water</t>
  </si>
  <si>
    <t>Thruster Quantity</t>
  </si>
  <si>
    <t>I_sp</t>
  </si>
  <si>
    <t>s</t>
  </si>
  <si>
    <t>Vehicle m_0</t>
  </si>
  <si>
    <t>Impulse(ra)</t>
  </si>
  <si>
    <t>N-s</t>
  </si>
  <si>
    <t>Maneuver Total Max Thrust</t>
  </si>
  <si>
    <t>N</t>
  </si>
  <si>
    <t>Maneuver Individual Max Thrust</t>
  </si>
  <si>
    <t>TimeThrust(ra)</t>
  </si>
  <si>
    <t>Mass Propellant Used</t>
  </si>
  <si>
    <t>Vehicle End Mass</t>
  </si>
  <si>
    <t>% Leg Time</t>
  </si>
  <si>
    <t>Impulse1(rp(M))</t>
  </si>
  <si>
    <t>TimeThrust1(rp(M))</t>
  </si>
  <si>
    <t>Impulse2(rp(M))</t>
  </si>
  <si>
    <t>TimeThrust2(rp(M))</t>
  </si>
  <si>
    <t>Impulse(Corr)</t>
  </si>
  <si>
    <t>TimeThrust(Corr) </t>
  </si>
  <si>
    <t>Totals</t>
  </si>
  <si>
    <t>Impulse</t>
  </si>
  <si>
    <t>Burn Time (s)</t>
  </si>
  <si>
    <t>Burn Time (days)</t>
  </si>
  <si>
    <t>% Total Flight Time</t>
  </si>
  <si>
    <t>Volume &amp; Mass Breakdown</t>
  </si>
  <si>
    <t>O/F Ratio</t>
  </si>
  <si>
    <t>N/A</t>
  </si>
  <si>
    <t>Propellant Density</t>
  </si>
  <si>
    <t>Oxidizer</t>
  </si>
  <si>
    <t>kg/m^3</t>
  </si>
  <si>
    <t>Fuel</t>
  </si>
  <si>
    <t>Propellant Mass</t>
  </si>
  <si>
    <t>Propellant Volume</t>
  </si>
  <si>
    <t>Oxidizer (cm^3)</t>
  </si>
  <si>
    <t>cm^3</t>
  </si>
  <si>
    <t>Fuel (cm^3)</t>
  </si>
  <si>
    <t>Oxidizer (U)</t>
  </si>
  <si>
    <t>U</t>
  </si>
  <si>
    <t>Fuel (U)</t>
  </si>
  <si>
    <t>Total Propellant Volume (cm^3)</t>
  </si>
  <si>
    <t>Total Propellant Volume (U)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</si>
</sst>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1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sz val="10"/>
      <color rgb="FF0000FF"/>
      <name val="Arial"/>
      <family val="2"/>
    </font>
    <font>
      <i val="true"/>
      <sz val="10"/>
      <color rgb="FF808080"/>
      <name val="Arial"/>
      <family val="2"/>
    </font>
    <font>
      <sz val="10"/>
      <color rgb="FF808080"/>
      <name val="Arial"/>
      <family val="2"/>
    </font>
    <font>
      <u val="single"/>
      <sz val="10"/>
      <name val="Arial"/>
      <family val="2"/>
    </font>
    <font>
      <sz val="10"/>
      <color rgb="FF99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66FFFF"/>
        <bgColor rgb="FF33CCCC"/>
      </patternFill>
    </fill>
    <fill>
      <patternFill patternType="solid">
        <fgColor rgb="FF00CC00"/>
        <bgColor rgb="FF008000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2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CC00"/>
      <rgbColor rgb="FF0000FF"/>
      <rgbColor rgb="FFFFFF00"/>
      <rgbColor rgb="FFFF00FF"/>
      <rgbColor rgb="FF00FFFF"/>
      <rgbColor rgb="FF99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mailto:shinen.chew@gmail.com" TargetMode="Externa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8"/>
  <sheetViews>
    <sheetView windowProtection="false" showFormulas="false" showGridLines="true" showRowColHeaders="true" showZeros="true" rightToLeft="false" tabSelected="true" showOutlineSymbols="true" defaultGridColor="true" view="normal" topLeftCell="B22" colorId="64" zoomScale="100" zoomScaleNormal="100" zoomScalePageLayoutView="100" workbookViewId="0">
      <pane xSplit="0" ySplit="2280" topLeftCell="A50" activePane="bottomLeft" state="split"/>
      <selection pane="topLeft" activeCell="B22" activeCellId="0" sqref="B22"/>
      <selection pane="bottomLeft" activeCell="B53" activeCellId="0" sqref="B53"/>
    </sheetView>
  </sheetViews>
  <sheetFormatPr defaultRowHeight="12.8"/>
  <cols>
    <col collapsed="false" hidden="false" max="1" min="1" style="0" width="27.780612244898"/>
    <col collapsed="false" hidden="false" max="2" min="2" style="0" width="28.7551020408163"/>
    <col collapsed="false" hidden="false" max="9" min="3" style="0" width="11.5204081632653"/>
    <col collapsed="false" hidden="false" max="10" min="10" style="0" width="15.280612244898"/>
    <col collapsed="false" hidden="false" max="1025" min="11" style="0" width="11.5204081632653"/>
  </cols>
  <sheetData>
    <row r="1" customFormat="false" ht="12.8" hidden="false" customHeight="false" outlineLevel="0" collapsed="false">
      <c r="A1" s="1" t="s">
        <v>0</v>
      </c>
      <c r="G1" s="1" t="s">
        <v>1</v>
      </c>
    </row>
    <row r="2" customFormat="false" ht="12.8" hidden="false" customHeight="false" outlineLevel="0" collapsed="false">
      <c r="A2" s="0" t="s">
        <v>2</v>
      </c>
      <c r="G2" s="0" t="s">
        <v>3</v>
      </c>
      <c r="H2" s="0" t="n">
        <v>9.8</v>
      </c>
      <c r="I2" s="0" t="s">
        <v>4</v>
      </c>
      <c r="J2" s="0" t="s">
        <v>5</v>
      </c>
    </row>
    <row r="4" customFormat="false" ht="12.8" hidden="false" customHeight="false" outlineLevel="0" collapsed="false">
      <c r="A4" s="1" t="s">
        <v>6</v>
      </c>
      <c r="G4" s="1" t="s">
        <v>7</v>
      </c>
      <c r="J4" s="0" t="s">
        <v>8</v>
      </c>
    </row>
    <row r="5" customFormat="false" ht="12.8" hidden="false" customHeight="false" outlineLevel="0" collapsed="false">
      <c r="A5" s="0" t="s">
        <v>9</v>
      </c>
      <c r="D5" s="0" t="s">
        <v>8</v>
      </c>
      <c r="G5" s="0" t="s">
        <v>10</v>
      </c>
      <c r="H5" s="2" t="n">
        <v>14</v>
      </c>
      <c r="I5" s="0" t="s">
        <v>11</v>
      </c>
      <c r="J5" s="0" t="s">
        <v>12</v>
      </c>
    </row>
    <row r="6" customFormat="false" ht="12.8" hidden="false" customHeight="false" outlineLevel="0" collapsed="false">
      <c r="A6" s="3" t="s">
        <v>13</v>
      </c>
      <c r="B6" s="4" t="n">
        <v>3200</v>
      </c>
      <c r="C6" s="4" t="s">
        <v>14</v>
      </c>
      <c r="D6" s="5" t="s">
        <v>15</v>
      </c>
      <c r="G6" s="0" t="s">
        <v>16</v>
      </c>
      <c r="H6" s="2" t="n">
        <v>9.8</v>
      </c>
      <c r="I6" s="0" t="s">
        <v>4</v>
      </c>
      <c r="J6" s="0" t="s">
        <v>17</v>
      </c>
    </row>
    <row r="7" customFormat="false" ht="12.8" hidden="false" customHeight="false" outlineLevel="0" collapsed="false">
      <c r="A7" s="6" t="s">
        <v>18</v>
      </c>
      <c r="B7" s="0" t="n">
        <v>166</v>
      </c>
      <c r="C7" s="0" t="s">
        <v>19</v>
      </c>
    </row>
    <row r="8" customFormat="false" ht="12.8" hidden="false" customHeight="false" outlineLevel="0" collapsed="false">
      <c r="A8" s="6" t="s">
        <v>20</v>
      </c>
    </row>
    <row r="9" customFormat="false" ht="12.8" hidden="false" customHeight="false" outlineLevel="0" collapsed="false">
      <c r="A9" s="3" t="s">
        <v>21</v>
      </c>
      <c r="B9" s="0" t="n">
        <v>12</v>
      </c>
      <c r="C9" s="0" t="s">
        <v>14</v>
      </c>
      <c r="D9" s="0" t="s">
        <v>22</v>
      </c>
    </row>
    <row r="10" customFormat="false" ht="12.8" hidden="false" customHeight="false" outlineLevel="0" collapsed="false">
      <c r="A10" s="0" t="s">
        <v>23</v>
      </c>
    </row>
    <row r="11" customFormat="false" ht="12.8" hidden="false" customHeight="false" outlineLevel="0" collapsed="false">
      <c r="A11" s="3" t="s">
        <v>24</v>
      </c>
      <c r="B11" s="0" t="n">
        <v>0</v>
      </c>
      <c r="C11" s="0" t="s">
        <v>14</v>
      </c>
      <c r="D11" s="0" t="s">
        <v>25</v>
      </c>
    </row>
    <row r="12" customFormat="false" ht="12.8" hidden="false" customHeight="false" outlineLevel="0" collapsed="false">
      <c r="A12" s="3" t="s">
        <v>26</v>
      </c>
      <c r="B12" s="0" t="n">
        <v>118</v>
      </c>
      <c r="C12" s="0" t="s">
        <v>14</v>
      </c>
      <c r="D12" s="0" t="s">
        <v>27</v>
      </c>
    </row>
    <row r="13" customFormat="false" ht="12.8" hidden="false" customHeight="false" outlineLevel="0" collapsed="false">
      <c r="A13" s="6" t="s">
        <v>28</v>
      </c>
      <c r="B13" s="0" t="n">
        <v>149</v>
      </c>
      <c r="C13" s="0" t="s">
        <v>19</v>
      </c>
    </row>
    <row r="14" customFormat="false" ht="12.8" hidden="false" customHeight="false" outlineLevel="0" collapsed="false">
      <c r="A14" s="0" t="s">
        <v>29</v>
      </c>
    </row>
    <row r="15" customFormat="false" ht="12.8" hidden="false" customHeight="false" outlineLevel="0" collapsed="false">
      <c r="A15" s="3" t="s">
        <v>30</v>
      </c>
      <c r="B15" s="0" t="n">
        <v>50</v>
      </c>
      <c r="C15" s="0" t="s">
        <v>14</v>
      </c>
      <c r="D15" s="0" t="s">
        <v>31</v>
      </c>
    </row>
    <row r="17" customFormat="false" ht="12.8" hidden="false" customHeight="false" outlineLevel="0" collapsed="false">
      <c r="A17" s="0" t="s">
        <v>32</v>
      </c>
      <c r="B17" s="0" t="n">
        <f aca="false">B9+B11+B12+B15</f>
        <v>180</v>
      </c>
      <c r="C17" s="0" t="s">
        <v>14</v>
      </c>
      <c r="D17" s="0" t="s">
        <v>33</v>
      </c>
    </row>
    <row r="18" customFormat="false" ht="12.8" hidden="false" customHeight="false" outlineLevel="0" collapsed="false">
      <c r="A18" s="0" t="s">
        <v>34</v>
      </c>
      <c r="B18" s="0" t="n">
        <f aca="false">B13+B7</f>
        <v>315</v>
      </c>
      <c r="C18" s="0" t="s">
        <v>19</v>
      </c>
    </row>
    <row r="20" customFormat="false" ht="12.8" hidden="false" customHeight="false" outlineLevel="0" collapsed="false">
      <c r="A20" s="1" t="s">
        <v>35</v>
      </c>
    </row>
    <row r="22" customFormat="false" ht="12.8" hidden="false" customHeight="false" outlineLevel="0" collapsed="false">
      <c r="A22" s="7" t="s">
        <v>36</v>
      </c>
    </row>
    <row r="23" customFormat="false" ht="12.8" hidden="false" customHeight="false" outlineLevel="0" collapsed="false">
      <c r="A23" s="7"/>
    </row>
    <row r="24" customFormat="false" ht="12.8" hidden="false" customHeight="false" outlineLevel="0" collapsed="false">
      <c r="A24" s="8" t="s">
        <v>37</v>
      </c>
      <c r="B24" s="0" t="s">
        <v>38</v>
      </c>
      <c r="C24" s="0" t="s">
        <v>39</v>
      </c>
      <c r="E24" s="0" t="s">
        <v>40</v>
      </c>
      <c r="F24" s="0" t="s">
        <v>41</v>
      </c>
    </row>
    <row r="25" customFormat="false" ht="12.8" hidden="false" customHeight="false" outlineLevel="0" collapsed="false">
      <c r="A25" s="8" t="s">
        <v>42</v>
      </c>
      <c r="B25" s="3" t="s">
        <v>43</v>
      </c>
      <c r="C25" s="3" t="s">
        <v>44</v>
      </c>
      <c r="D25" s="3" t="s">
        <v>45</v>
      </c>
      <c r="E25" s="3" t="s">
        <v>45</v>
      </c>
      <c r="F25" s="3" t="s">
        <v>44</v>
      </c>
    </row>
    <row r="26" customFormat="false" ht="12.8" hidden="false" customHeight="false" outlineLevel="0" collapsed="false">
      <c r="A26" s="8" t="s">
        <v>46</v>
      </c>
      <c r="B26" s="9" t="n">
        <v>1</v>
      </c>
      <c r="C26" s="10" t="n">
        <v>1</v>
      </c>
      <c r="D26" s="10" t="n">
        <v>1</v>
      </c>
      <c r="E26" s="10" t="n">
        <v>1</v>
      </c>
      <c r="F26" s="10" t="n">
        <v>4</v>
      </c>
    </row>
    <row r="27" customFormat="false" ht="12.8" hidden="false" customHeight="false" outlineLevel="0" collapsed="false">
      <c r="A27" s="0" t="s">
        <v>47</v>
      </c>
      <c r="B27" s="2" t="n">
        <v>200</v>
      </c>
      <c r="C27" s="2" t="n">
        <v>506</v>
      </c>
      <c r="D27" s="2" t="n">
        <v>1623</v>
      </c>
      <c r="E27" s="2" t="n">
        <v>300</v>
      </c>
      <c r="F27" s="2" t="n">
        <v>1200</v>
      </c>
      <c r="G27" s="0" t="s">
        <v>48</v>
      </c>
    </row>
    <row r="28" customFormat="false" ht="12.8" hidden="false" customHeight="false" outlineLevel="0" collapsed="false">
      <c r="A28" s="0" t="s">
        <v>49</v>
      </c>
      <c r="B28" s="0" t="n">
        <f aca="false">$H$5</f>
        <v>14</v>
      </c>
      <c r="C28" s="0" t="n">
        <f aca="false">$H$5</f>
        <v>14</v>
      </c>
      <c r="D28" s="0" t="n">
        <f aca="false">$H$5</f>
        <v>14</v>
      </c>
      <c r="E28" s="0" t="n">
        <f aca="false">$H$5</f>
        <v>14</v>
      </c>
      <c r="F28" s="0" t="n">
        <f aca="false">$H$5</f>
        <v>14</v>
      </c>
      <c r="G28" s="0" t="s">
        <v>11</v>
      </c>
    </row>
    <row r="29" customFormat="false" ht="12.8" hidden="false" customHeight="false" outlineLevel="0" collapsed="false">
      <c r="A29" s="6" t="s">
        <v>20</v>
      </c>
    </row>
    <row r="30" customFormat="false" ht="12.8" hidden="false" customHeight="false" outlineLevel="0" collapsed="false">
      <c r="A30" s="3" t="s">
        <v>50</v>
      </c>
      <c r="B30" s="0" t="n">
        <f aca="false">$B$9*B28</f>
        <v>168</v>
      </c>
      <c r="C30" s="0" t="n">
        <f aca="false">$B$9*C28</f>
        <v>168</v>
      </c>
      <c r="D30" s="0" t="n">
        <f aca="false">$B$9*D28</f>
        <v>168</v>
      </c>
      <c r="E30" s="0" t="n">
        <f aca="false">$B$9*E28</f>
        <v>168</v>
      </c>
      <c r="F30" s="0" t="n">
        <f aca="false">$B$9*F28</f>
        <v>168</v>
      </c>
      <c r="G30" s="0" t="s">
        <v>51</v>
      </c>
    </row>
    <row r="31" customFormat="false" ht="12.8" hidden="false" customHeight="false" outlineLevel="0" collapsed="false">
      <c r="A31" s="11" t="s">
        <v>52</v>
      </c>
      <c r="B31" s="12" t="n">
        <f aca="false">B28*$H$6</f>
        <v>137.2</v>
      </c>
      <c r="C31" s="0" t="n">
        <f aca="false">C32*C26</f>
        <v>0.00272</v>
      </c>
      <c r="D31" s="0" t="n">
        <f aca="false">D32*D26</f>
        <v>0.00044</v>
      </c>
      <c r="E31" s="0" t="n">
        <f aca="false">E32*E26</f>
        <v>0.8</v>
      </c>
      <c r="F31" s="0" t="n">
        <f aca="false">F32*F26</f>
        <v>0.0004</v>
      </c>
      <c r="G31" s="0" t="s">
        <v>53</v>
      </c>
    </row>
    <row r="32" customFormat="false" ht="12.8" hidden="false" customHeight="false" outlineLevel="0" collapsed="false">
      <c r="A32" s="11" t="s">
        <v>54</v>
      </c>
      <c r="B32" s="12" t="n">
        <f aca="false">B31/B26</f>
        <v>137.2</v>
      </c>
      <c r="C32" s="2" t="n">
        <f aca="false">2.72/1000</f>
        <v>0.00272</v>
      </c>
      <c r="D32" s="2" t="n">
        <f aca="false">0.44/1000</f>
        <v>0.00044</v>
      </c>
      <c r="E32" s="2" t="n">
        <f aca="false">0.8</f>
        <v>0.8</v>
      </c>
      <c r="F32" s="2" t="n">
        <f aca="false">100*(10^(-6))</f>
        <v>0.0001</v>
      </c>
      <c r="G32" s="0" t="s">
        <v>53</v>
      </c>
    </row>
    <row r="33" customFormat="false" ht="12.8" hidden="false" customHeight="false" outlineLevel="0" collapsed="false">
      <c r="A33" s="11" t="s">
        <v>55</v>
      </c>
      <c r="B33" s="0" t="n">
        <f aca="false">B30/B31</f>
        <v>1.22448979591837</v>
      </c>
      <c r="C33" s="0" t="n">
        <f aca="false">C30/C31</f>
        <v>61764.7058823529</v>
      </c>
      <c r="D33" s="0" t="n">
        <f aca="false">D30/D31</f>
        <v>381818.181818182</v>
      </c>
      <c r="E33" s="0" t="n">
        <f aca="false">E30/E31</f>
        <v>210</v>
      </c>
      <c r="F33" s="0" t="n">
        <f aca="false">F30/F31</f>
        <v>420000</v>
      </c>
      <c r="G33" s="0" t="s">
        <v>48</v>
      </c>
    </row>
    <row r="34" customFormat="false" ht="12.8" hidden="false" customHeight="false" outlineLevel="0" collapsed="false">
      <c r="A34" s="11" t="s">
        <v>56</v>
      </c>
      <c r="B34" s="0" t="n">
        <f aca="false">(B32/(B$27*$H$2))*B33*B26</f>
        <v>0.0857142857142857</v>
      </c>
      <c r="C34" s="0" t="n">
        <f aca="false">(C32/(C$27*$H$2))*C33*C26</f>
        <v>0.0338791643139469</v>
      </c>
      <c r="D34" s="0" t="n">
        <f aca="false">(D32/(D$27*$H$2))*D33*D26</f>
        <v>0.0105624504885133</v>
      </c>
      <c r="E34" s="0" t="n">
        <f aca="false">(E32/(E$27*$H$2))*E33*E26</f>
        <v>0.0571428571428571</v>
      </c>
      <c r="F34" s="0" t="n">
        <f aca="false">(F32/(F$27*$H$2))*F33*F26</f>
        <v>0.0142857142857143</v>
      </c>
      <c r="G34" s="0" t="s">
        <v>11</v>
      </c>
    </row>
    <row r="35" customFormat="false" ht="12.8" hidden="false" customHeight="false" outlineLevel="0" collapsed="false">
      <c r="A35" s="11" t="s">
        <v>57</v>
      </c>
      <c r="B35" s="0" t="n">
        <f aca="false">B28-B34</f>
        <v>13.9142857142857</v>
      </c>
      <c r="C35" s="0" t="n">
        <f aca="false">C28-C34</f>
        <v>13.9661208356861</v>
      </c>
      <c r="D35" s="0" t="n">
        <f aca="false">D28-D34</f>
        <v>13.9894375495115</v>
      </c>
      <c r="E35" s="0" t="n">
        <f aca="false">E28-E34</f>
        <v>13.9428571428571</v>
      </c>
      <c r="F35" s="0" t="n">
        <f aca="false">F28-F34</f>
        <v>13.9857142857143</v>
      </c>
      <c r="G35" s="0" t="s">
        <v>11</v>
      </c>
    </row>
    <row r="36" customFormat="false" ht="12.8" hidden="false" customHeight="false" outlineLevel="0" collapsed="false">
      <c r="A36" s="3" t="s">
        <v>58</v>
      </c>
      <c r="B36" s="13" t="n">
        <f aca="false">B33/($B$7*24*60*60)</f>
        <v>8.53755156681146E-008</v>
      </c>
      <c r="C36" s="13" t="n">
        <f aca="false">C33/($B$7*24*60*60)</f>
        <v>0.00430644145208284</v>
      </c>
      <c r="D36" s="13" t="n">
        <f aca="false">D33/($B$7*24*60*60)</f>
        <v>0.0266216380674212</v>
      </c>
      <c r="E36" s="13" t="n">
        <f aca="false">E33/($B$7*24*60*60)</f>
        <v>1.46419009370817E-005</v>
      </c>
      <c r="F36" s="13" t="n">
        <f aca="false">F33/($B$7*24*60*60)</f>
        <v>0.0292838018741633</v>
      </c>
    </row>
    <row r="37" customFormat="false" ht="12.8" hidden="false" customHeight="false" outlineLevel="0" collapsed="false">
      <c r="A37" s="0" t="s">
        <v>23</v>
      </c>
    </row>
    <row r="38" customFormat="false" ht="12.8" hidden="false" customHeight="false" outlineLevel="0" collapsed="false">
      <c r="A38" s="3" t="s">
        <v>59</v>
      </c>
      <c r="B38" s="0" t="n">
        <f aca="false">$B$11*B35</f>
        <v>0</v>
      </c>
      <c r="C38" s="0" t="n">
        <f aca="false">$B$11*C35</f>
        <v>0</v>
      </c>
      <c r="D38" s="0" t="n">
        <f aca="false">$B$11*D35</f>
        <v>0</v>
      </c>
      <c r="E38" s="0" t="n">
        <f aca="false">$B$11*E35</f>
        <v>0</v>
      </c>
      <c r="F38" s="0" t="n">
        <f aca="false">$B$11*F35</f>
        <v>0</v>
      </c>
      <c r="G38" s="0" t="s">
        <v>51</v>
      </c>
    </row>
    <row r="39" customFormat="false" ht="12.8" hidden="false" customHeight="false" outlineLevel="0" collapsed="false">
      <c r="A39" s="11" t="s">
        <v>52</v>
      </c>
      <c r="B39" s="12" t="n">
        <f aca="false">B35*$H$6</f>
        <v>136.36</v>
      </c>
      <c r="C39" s="0" t="n">
        <f aca="false">C32*C26</f>
        <v>0.00272</v>
      </c>
      <c r="D39" s="0" t="n">
        <f aca="false">D32*D26</f>
        <v>0.00044</v>
      </c>
      <c r="E39" s="0" t="n">
        <f aca="false">E32*E26</f>
        <v>0.8</v>
      </c>
      <c r="F39" s="0" t="n">
        <f aca="false">F32*F26</f>
        <v>0.0004</v>
      </c>
      <c r="G39" s="0" t="s">
        <v>53</v>
      </c>
    </row>
    <row r="40" customFormat="false" ht="12.8" hidden="false" customHeight="false" outlineLevel="0" collapsed="false">
      <c r="A40" s="11" t="s">
        <v>54</v>
      </c>
      <c r="B40" s="12" t="n">
        <f aca="false">B39/B26</f>
        <v>136.36</v>
      </c>
      <c r="C40" s="0" t="n">
        <f aca="false">C32</f>
        <v>0.00272</v>
      </c>
      <c r="D40" s="0" t="n">
        <f aca="false">D32</f>
        <v>0.00044</v>
      </c>
      <c r="E40" s="0" t="n">
        <f aca="false">E32</f>
        <v>0.8</v>
      </c>
      <c r="F40" s="0" t="n">
        <f aca="false">F32</f>
        <v>0.0001</v>
      </c>
      <c r="G40" s="0" t="s">
        <v>53</v>
      </c>
    </row>
    <row r="41" customFormat="false" ht="12.8" hidden="false" customHeight="false" outlineLevel="0" collapsed="false">
      <c r="A41" s="11" t="s">
        <v>60</v>
      </c>
      <c r="B41" s="0" t="n">
        <f aca="false">B38/B39</f>
        <v>0</v>
      </c>
      <c r="C41" s="0" t="n">
        <f aca="false">C38/C39</f>
        <v>0</v>
      </c>
      <c r="D41" s="0" t="n">
        <f aca="false">D38/D39</f>
        <v>0</v>
      </c>
      <c r="E41" s="0" t="n">
        <f aca="false">E38/E39</f>
        <v>0</v>
      </c>
      <c r="F41" s="0" t="n">
        <f aca="false">F38/F39</f>
        <v>0</v>
      </c>
      <c r="G41" s="0" t="s">
        <v>48</v>
      </c>
    </row>
    <row r="42" customFormat="false" ht="12.8" hidden="false" customHeight="false" outlineLevel="0" collapsed="false">
      <c r="A42" s="11" t="s">
        <v>56</v>
      </c>
      <c r="B42" s="0" t="n">
        <f aca="false">(B40/(B27*$H$2))*B41*B26</f>
        <v>0</v>
      </c>
      <c r="C42" s="0" t="n">
        <f aca="false">(C40/(C27*$H$2))*C41*C26</f>
        <v>0</v>
      </c>
      <c r="D42" s="0" t="n">
        <f aca="false">(D40/(D27*$H$2))*D41*D26</f>
        <v>0</v>
      </c>
      <c r="E42" s="0" t="n">
        <f aca="false">(E40/(E27*$H$2))*E41*E26</f>
        <v>0</v>
      </c>
      <c r="F42" s="0" t="n">
        <f aca="false">(F40/(F27*$H$2))*F41*F26</f>
        <v>0</v>
      </c>
      <c r="G42" s="0" t="s">
        <v>11</v>
      </c>
    </row>
    <row r="43" customFormat="false" ht="12.8" hidden="false" customHeight="false" outlineLevel="0" collapsed="false">
      <c r="A43" s="11" t="s">
        <v>57</v>
      </c>
      <c r="B43" s="0" t="n">
        <f aca="false">B35-B42</f>
        <v>13.9142857142857</v>
      </c>
      <c r="C43" s="0" t="n">
        <f aca="false">C35-C42</f>
        <v>13.9661208356861</v>
      </c>
      <c r="D43" s="0" t="n">
        <f aca="false">D35-D42</f>
        <v>13.9894375495115</v>
      </c>
      <c r="E43" s="0" t="n">
        <f aca="false">E35-E42</f>
        <v>13.9428571428571</v>
      </c>
      <c r="F43" s="0" t="n">
        <f aca="false">F35-F42</f>
        <v>13.9857142857143</v>
      </c>
      <c r="G43" s="0" t="s">
        <v>11</v>
      </c>
    </row>
    <row r="44" customFormat="false" ht="12.8" hidden="false" customHeight="false" outlineLevel="0" collapsed="false">
      <c r="A44" s="3" t="s">
        <v>61</v>
      </c>
      <c r="B44" s="0" t="n">
        <f aca="false">$B$12*B43</f>
        <v>1641.88571428571</v>
      </c>
      <c r="C44" s="0" t="n">
        <f aca="false">$B$12*C43</f>
        <v>1648.00225861095</v>
      </c>
      <c r="D44" s="0" t="n">
        <f aca="false">$B$12*D43</f>
        <v>1650.75363084236</v>
      </c>
      <c r="E44" s="0" t="n">
        <f aca="false">$B$12*E43</f>
        <v>1645.25714285714</v>
      </c>
      <c r="F44" s="0" t="n">
        <f aca="false">$B$12*F43</f>
        <v>1650.31428571429</v>
      </c>
      <c r="G44" s="0" t="s">
        <v>51</v>
      </c>
    </row>
    <row r="45" customFormat="false" ht="12.8" hidden="false" customHeight="false" outlineLevel="0" collapsed="false">
      <c r="A45" s="11" t="s">
        <v>52</v>
      </c>
      <c r="B45" s="12" t="n">
        <f aca="false">B43*$H$6</f>
        <v>136.36</v>
      </c>
      <c r="C45" s="0" t="n">
        <f aca="false">C31</f>
        <v>0.00272</v>
      </c>
      <c r="D45" s="0" t="n">
        <f aca="false">D31</f>
        <v>0.00044</v>
      </c>
      <c r="E45" s="0" t="n">
        <f aca="false">E31</f>
        <v>0.8</v>
      </c>
      <c r="F45" s="0" t="n">
        <f aca="false">F31</f>
        <v>0.0004</v>
      </c>
      <c r="G45" s="0" t="s">
        <v>53</v>
      </c>
    </row>
    <row r="46" customFormat="false" ht="12.8" hidden="false" customHeight="false" outlineLevel="0" collapsed="false">
      <c r="A46" s="11" t="s">
        <v>54</v>
      </c>
      <c r="B46" s="12" t="n">
        <f aca="false">B45/B26</f>
        <v>136.36</v>
      </c>
      <c r="C46" s="0" t="n">
        <f aca="false">C32</f>
        <v>0.00272</v>
      </c>
      <c r="D46" s="0" t="n">
        <f aca="false">D32</f>
        <v>0.00044</v>
      </c>
      <c r="E46" s="0" t="n">
        <f aca="false">E32</f>
        <v>0.8</v>
      </c>
      <c r="F46" s="0" t="n">
        <f aca="false">F32</f>
        <v>0.0001</v>
      </c>
      <c r="G46" s="0" t="s">
        <v>53</v>
      </c>
    </row>
    <row r="47" customFormat="false" ht="12.8" hidden="false" customHeight="false" outlineLevel="0" collapsed="false">
      <c r="A47" s="11" t="s">
        <v>62</v>
      </c>
      <c r="B47" s="0" t="n">
        <f aca="false">B44/B45</f>
        <v>12.0408163265306</v>
      </c>
      <c r="C47" s="0" t="n">
        <f aca="false">C44/C45</f>
        <v>605883.183312851</v>
      </c>
      <c r="D47" s="0" t="n">
        <f aca="false">D44/D45</f>
        <v>3751712.79736899</v>
      </c>
      <c r="E47" s="0" t="n">
        <f aca="false">E44/E45</f>
        <v>2056.57142857143</v>
      </c>
      <c r="F47" s="0" t="n">
        <f aca="false">F44/F45</f>
        <v>4125785.71428571</v>
      </c>
      <c r="G47" s="0" t="s">
        <v>48</v>
      </c>
    </row>
    <row r="48" customFormat="false" ht="12.8" hidden="false" customHeight="false" outlineLevel="0" collapsed="false">
      <c r="A48" s="11" t="s">
        <v>56</v>
      </c>
      <c r="B48" s="0" t="n">
        <f aca="false">(B46/(B27*$H$2))*B47*B26</f>
        <v>0.837696793002915</v>
      </c>
      <c r="C48" s="0" t="n">
        <f aca="false">(C46/(C27*$H$2))*C47*C26</f>
        <v>0.332338924459739</v>
      </c>
      <c r="D48" s="0" t="n">
        <f aca="false">(D46/(D27*$H$2))*D47*D26</f>
        <v>0.103785735086345</v>
      </c>
      <c r="E48" s="0" t="n">
        <f aca="false">(E46/(E27*$H$2))*E47*E26</f>
        <v>0.559611273080661</v>
      </c>
      <c r="F48" s="0" t="n">
        <f aca="false">(F46/(F27*$H$2))*F47*F26</f>
        <v>0.140332847424684</v>
      </c>
      <c r="G48" s="0" t="s">
        <v>11</v>
      </c>
    </row>
    <row r="49" customFormat="false" ht="12.8" hidden="false" customHeight="false" outlineLevel="0" collapsed="false">
      <c r="A49" s="11" t="s">
        <v>57</v>
      </c>
      <c r="B49" s="0" t="n">
        <f aca="false">B43-B48</f>
        <v>13.0765889212828</v>
      </c>
      <c r="C49" s="0" t="n">
        <f aca="false">C43-C48</f>
        <v>13.6337819112263</v>
      </c>
      <c r="D49" s="0" t="n">
        <f aca="false">D43-D48</f>
        <v>13.8856518144251</v>
      </c>
      <c r="E49" s="0" t="n">
        <f aca="false">E43-E48</f>
        <v>13.3832458697765</v>
      </c>
      <c r="F49" s="0" t="n">
        <f aca="false">F43-F48</f>
        <v>13.8453814382896</v>
      </c>
      <c r="G49" s="0" t="s">
        <v>11</v>
      </c>
    </row>
    <row r="50" customFormat="false" ht="12.8" hidden="false" customHeight="false" outlineLevel="0" collapsed="false">
      <c r="A50" s="3" t="s">
        <v>58</v>
      </c>
      <c r="B50" s="13" t="n">
        <f aca="false">(B41+B47)/($B$13*24*60*60)</f>
        <v>9.35310738762321E-007</v>
      </c>
      <c r="C50" s="13" t="n">
        <f aca="false">(C41+C47)/($B$13*24*60*60)</f>
        <v>0.0470640056637499</v>
      </c>
      <c r="D50" s="13" t="n">
        <f aca="false">(D41+D47)/($B$13*24*60*60)</f>
        <v>0.291426857861747</v>
      </c>
      <c r="E50" s="13" t="n">
        <f aca="false">(E41+E47)/($B$13*24*60*60)</f>
        <v>0.000159751074180604</v>
      </c>
      <c r="F50" s="13" t="n">
        <f aca="false">(F41+F47)/($B$13*24*60*60)</f>
        <v>0.320484224636909</v>
      </c>
    </row>
    <row r="51" customFormat="false" ht="12.8" hidden="false" customHeight="false" outlineLevel="0" collapsed="false">
      <c r="A51" s="0" t="s">
        <v>29</v>
      </c>
    </row>
    <row r="52" customFormat="false" ht="12.8" hidden="false" customHeight="false" outlineLevel="0" collapsed="false">
      <c r="A52" s="3" t="s">
        <v>63</v>
      </c>
      <c r="B52" s="0" t="n">
        <f aca="false">$B$15*B28</f>
        <v>700</v>
      </c>
      <c r="C52" s="0" t="n">
        <f aca="false">$B$15*C28</f>
        <v>700</v>
      </c>
      <c r="D52" s="0" t="n">
        <f aca="false">$B$15*D28</f>
        <v>700</v>
      </c>
      <c r="E52" s="0" t="n">
        <f aca="false">$B$15*E28</f>
        <v>700</v>
      </c>
      <c r="F52" s="0" t="n">
        <f aca="false">$B$15*F28</f>
        <v>700</v>
      </c>
      <c r="G52" s="0" t="s">
        <v>51</v>
      </c>
    </row>
    <row r="53" customFormat="false" ht="12.8" hidden="false" customHeight="false" outlineLevel="0" collapsed="false">
      <c r="A53" s="11" t="s">
        <v>64</v>
      </c>
      <c r="B53" s="0" t="n">
        <f aca="false">B52/B31</f>
        <v>5.10204081632653</v>
      </c>
      <c r="C53" s="0" t="n">
        <f aca="false">C52/C31</f>
        <v>257352.941176471</v>
      </c>
      <c r="D53" s="0" t="n">
        <f aca="false">D52/D31</f>
        <v>1590909.09090909</v>
      </c>
      <c r="E53" s="0" t="n">
        <f aca="false">E52/E31</f>
        <v>875</v>
      </c>
      <c r="F53" s="0" t="n">
        <f aca="false">F52/F31</f>
        <v>1750000</v>
      </c>
      <c r="G53" s="0" t="s">
        <v>48</v>
      </c>
    </row>
    <row r="54" customFormat="false" ht="12.8" hidden="false" customHeight="false" outlineLevel="0" collapsed="false">
      <c r="A54" s="11" t="s">
        <v>56</v>
      </c>
      <c r="B54" s="0" t="n">
        <f aca="false">(B32/(B27*$H$2))*B53*B26</f>
        <v>0.357142857142857</v>
      </c>
      <c r="C54" s="0" t="n">
        <f aca="false">(C32/(C27*$H$2))*C53*C26</f>
        <v>0.141163184641446</v>
      </c>
      <c r="D54" s="0" t="n">
        <f aca="false">(D32/(D27*$H$2))*D53*D26</f>
        <v>0.0440102103688056</v>
      </c>
      <c r="E54" s="0" t="n">
        <f aca="false">(E32/(E27*$H$2))*E53*E26</f>
        <v>0.238095238095238</v>
      </c>
      <c r="F54" s="0" t="n">
        <f aca="false">(F32/(F27*$H$2))*F53*F26</f>
        <v>0.0595238095238095</v>
      </c>
      <c r="G54" s="0" t="s">
        <v>11</v>
      </c>
    </row>
    <row r="55" customFormat="false" ht="12.8" hidden="false" customHeight="false" outlineLevel="0" collapsed="false">
      <c r="A55" s="11"/>
    </row>
    <row r="56" customFormat="false" ht="12.8" hidden="false" customHeight="false" outlineLevel="0" collapsed="false">
      <c r="A56" s="6" t="s">
        <v>65</v>
      </c>
    </row>
    <row r="57" customFormat="false" ht="12.8" hidden="false" customHeight="false" outlineLevel="0" collapsed="false">
      <c r="A57" s="3" t="s">
        <v>66</v>
      </c>
      <c r="B57" s="0" t="n">
        <f aca="false">B30+B38+B44+B52</f>
        <v>2509.88571428571</v>
      </c>
      <c r="C57" s="0" t="n">
        <f aca="false">C30+C38+C44+C52</f>
        <v>2516.00225861095</v>
      </c>
      <c r="D57" s="0" t="n">
        <f aca="false">D30+D38+D44+D52</f>
        <v>2518.75363084236</v>
      </c>
      <c r="E57" s="0" t="n">
        <f aca="false">E30+E38+E44+E52</f>
        <v>2513.25714285714</v>
      </c>
      <c r="F57" s="0" t="n">
        <f aca="false">F30+F38+F44+F52</f>
        <v>2518.31428571429</v>
      </c>
      <c r="G57" s="0" t="s">
        <v>51</v>
      </c>
    </row>
    <row r="58" customFormat="false" ht="12.8" hidden="false" customHeight="false" outlineLevel="0" collapsed="false">
      <c r="A58" s="3" t="s">
        <v>56</v>
      </c>
      <c r="B58" s="14" t="n">
        <f aca="false">B34+B42+B48+B54</f>
        <v>1.28055393586006</v>
      </c>
      <c r="C58" s="14" t="n">
        <f aca="false">C34+C42+C48+C54</f>
        <v>0.507381273415132</v>
      </c>
      <c r="D58" s="14" t="n">
        <f aca="false">D34+D42+D48+D54</f>
        <v>0.158358395943664</v>
      </c>
      <c r="E58" s="14" t="n">
        <f aca="false">E34+E42+E48+E54</f>
        <v>0.854849368318756</v>
      </c>
      <c r="F58" s="14" t="n">
        <f aca="false">F34+F42+F48+F54</f>
        <v>0.214142371234208</v>
      </c>
      <c r="G58" s="0" t="s">
        <v>11</v>
      </c>
    </row>
    <row r="59" customFormat="false" ht="12.8" hidden="false" customHeight="false" outlineLevel="0" collapsed="false">
      <c r="A59" s="3" t="s">
        <v>67</v>
      </c>
      <c r="B59" s="14" t="n">
        <f aca="false">B33+B41+B47+B53</f>
        <v>18.3673469387755</v>
      </c>
      <c r="C59" s="15" t="n">
        <f aca="false">C33+C41+C47+C53</f>
        <v>925000.830371674</v>
      </c>
      <c r="D59" s="16" t="n">
        <f aca="false">D33+D41+D47+D53</f>
        <v>5724440.07009626</v>
      </c>
      <c r="E59" s="14" t="n">
        <f aca="false">E33+E41+E47+E53</f>
        <v>3141.57142857143</v>
      </c>
      <c r="F59" s="16" t="n">
        <f aca="false">F33+F41+F47+F53</f>
        <v>6295785.71428571</v>
      </c>
      <c r="G59" s="0" t="s">
        <v>48</v>
      </c>
    </row>
    <row r="60" customFormat="false" ht="12.8" hidden="false" customHeight="false" outlineLevel="0" collapsed="false">
      <c r="A60" s="3" t="s">
        <v>68</v>
      </c>
      <c r="B60" s="14" t="n">
        <f aca="false">B59/(24*60*60)</f>
        <v>0.000212585034013605</v>
      </c>
      <c r="C60" s="15" t="n">
        <f aca="false">C59/(24*60*60)</f>
        <v>10.7060281293018</v>
      </c>
      <c r="D60" s="16" t="n">
        <f aca="false">D59/(24*60*60)</f>
        <v>66.2550934038919</v>
      </c>
      <c r="E60" s="14" t="n">
        <f aca="false">E59/(24*60*60)</f>
        <v>0.0363607804232804</v>
      </c>
      <c r="F60" s="16" t="n">
        <f aca="false">F59/(24*60*60)</f>
        <v>72.8678902116402</v>
      </c>
      <c r="G60" s="0" t="s">
        <v>19</v>
      </c>
    </row>
    <row r="61" customFormat="false" ht="12.8" hidden="false" customHeight="false" outlineLevel="0" collapsed="false">
      <c r="A61" s="3" t="s">
        <v>69</v>
      </c>
      <c r="B61" s="17" t="n">
        <f aca="false">B60/$B$18</f>
        <v>6.74873123852716E-007</v>
      </c>
      <c r="C61" s="18" t="n">
        <f aca="false">C60/$B$18</f>
        <v>0.0339873908866723</v>
      </c>
      <c r="D61" s="19" t="n">
        <f aca="false">D60/$B$18</f>
        <v>0.210333629853625</v>
      </c>
      <c r="E61" s="17" t="n">
        <f aca="false">E60/$B$18</f>
        <v>0.000115431048962795</v>
      </c>
      <c r="F61" s="19" t="n">
        <f aca="false">F60/$B$18</f>
        <v>0.231326635592509</v>
      </c>
    </row>
    <row r="62" customFormat="false" ht="12.8" hidden="false" customHeight="false" outlineLevel="0" collapsed="false">
      <c r="A62" s="7"/>
    </row>
    <row r="63" customFormat="false" ht="12.8" hidden="false" customHeight="false" outlineLevel="0" collapsed="false">
      <c r="A63" s="0" t="s">
        <v>70</v>
      </c>
    </row>
    <row r="64" customFormat="false" ht="12.8" hidden="false" customHeight="false" outlineLevel="0" collapsed="false">
      <c r="A64" s="3" t="s">
        <v>71</v>
      </c>
      <c r="B64" s="0" t="n">
        <v>3</v>
      </c>
      <c r="C64" s="0" t="s">
        <v>72</v>
      </c>
      <c r="D64" s="0" t="s">
        <v>72</v>
      </c>
      <c r="E64" s="0" t="s">
        <v>72</v>
      </c>
      <c r="F64" s="0" t="s">
        <v>72</v>
      </c>
    </row>
    <row r="65" customFormat="false" ht="12.8" hidden="false" customHeight="false" outlineLevel="0" collapsed="false">
      <c r="A65" s="3" t="s">
        <v>73</v>
      </c>
    </row>
    <row r="66" customFormat="false" ht="12.8" hidden="false" customHeight="false" outlineLevel="0" collapsed="false">
      <c r="A66" s="11" t="s">
        <v>74</v>
      </c>
      <c r="B66" s="20" t="n">
        <v>1222</v>
      </c>
      <c r="C66" s="0" t="s">
        <v>72</v>
      </c>
      <c r="D66" s="0" t="s">
        <v>72</v>
      </c>
      <c r="E66" s="0" t="s">
        <v>72</v>
      </c>
      <c r="F66" s="0" t="s">
        <v>72</v>
      </c>
      <c r="G66" s="0" t="s">
        <v>75</v>
      </c>
    </row>
    <row r="67" customFormat="false" ht="12.8" hidden="false" customHeight="false" outlineLevel="0" collapsed="false">
      <c r="A67" s="11" t="s">
        <v>76</v>
      </c>
      <c r="B67" s="0" t="n">
        <v>1250</v>
      </c>
      <c r="C67" s="0" t="n">
        <v>4933</v>
      </c>
      <c r="D67" s="0" t="n">
        <v>1000</v>
      </c>
      <c r="E67" s="0" t="n">
        <v>1000</v>
      </c>
      <c r="F67" s="0" t="n">
        <v>4933</v>
      </c>
      <c r="G67" s="0" t="s">
        <v>75</v>
      </c>
    </row>
    <row r="68" customFormat="false" ht="12.8" hidden="false" customHeight="false" outlineLevel="0" collapsed="false">
      <c r="A68" s="3" t="s">
        <v>77</v>
      </c>
    </row>
    <row r="69" customFormat="false" ht="12.8" hidden="false" customHeight="false" outlineLevel="0" collapsed="false">
      <c r="A69" s="11" t="s">
        <v>74</v>
      </c>
      <c r="B69" s="0" t="n">
        <f aca="false">B58*(B64/(1+B64))</f>
        <v>0.960415451895044</v>
      </c>
      <c r="C69" s="0" t="s">
        <v>72</v>
      </c>
      <c r="D69" s="0" t="s">
        <v>72</v>
      </c>
      <c r="E69" s="0" t="s">
        <v>72</v>
      </c>
      <c r="F69" s="0" t="s">
        <v>72</v>
      </c>
      <c r="G69" s="0" t="s">
        <v>11</v>
      </c>
    </row>
    <row r="70" customFormat="false" ht="12.8" hidden="false" customHeight="false" outlineLevel="0" collapsed="false">
      <c r="A70" s="11" t="s">
        <v>76</v>
      </c>
      <c r="B70" s="0" t="n">
        <f aca="false">B58*(1/(1+B64))</f>
        <v>0.320138483965015</v>
      </c>
      <c r="C70" s="0" t="n">
        <f aca="false">C58</f>
        <v>0.507381273415132</v>
      </c>
      <c r="D70" s="0" t="n">
        <f aca="false">D58</f>
        <v>0.158358395943664</v>
      </c>
      <c r="E70" s="0" t="n">
        <f aca="false">E58</f>
        <v>0.854849368318756</v>
      </c>
      <c r="F70" s="0" t="n">
        <f aca="false">F58</f>
        <v>0.214142371234208</v>
      </c>
      <c r="G70" s="0" t="s">
        <v>11</v>
      </c>
    </row>
    <row r="71" customFormat="false" ht="12.8" hidden="false" customHeight="false" outlineLevel="0" collapsed="false">
      <c r="A71" s="3" t="s">
        <v>78</v>
      </c>
    </row>
    <row r="72" customFormat="false" ht="12.8" hidden="false" customHeight="false" outlineLevel="0" collapsed="false">
      <c r="A72" s="11" t="s">
        <v>79</v>
      </c>
      <c r="B72" s="0" t="n">
        <f aca="false">(B69/B66)*1000000</f>
        <v>785.937358342916</v>
      </c>
      <c r="C72" s="0" t="s">
        <v>72</v>
      </c>
      <c r="D72" s="0" t="s">
        <v>72</v>
      </c>
      <c r="E72" s="0" t="s">
        <v>72</v>
      </c>
      <c r="F72" s="0" t="s">
        <v>72</v>
      </c>
      <c r="G72" s="0" t="s">
        <v>80</v>
      </c>
    </row>
    <row r="73" customFormat="false" ht="12.8" hidden="false" customHeight="false" outlineLevel="0" collapsed="false">
      <c r="A73" s="11" t="s">
        <v>81</v>
      </c>
      <c r="B73" s="0" t="n">
        <f aca="false">(B70/B67)*1000000</f>
        <v>256.110787172012</v>
      </c>
      <c r="C73" s="0" t="n">
        <f aca="false">(C70/C67)*1000000</f>
        <v>102.854505050706</v>
      </c>
      <c r="D73" s="0" t="n">
        <f aca="false">(D70/D67)*1000000</f>
        <v>158.358395943664</v>
      </c>
      <c r="E73" s="0" t="n">
        <f aca="false">(E70/E67)*1000000</f>
        <v>854.849368318756</v>
      </c>
      <c r="F73" s="0" t="n">
        <f aca="false">(F70/F67)*1000000</f>
        <v>43.41017053197</v>
      </c>
      <c r="G73" s="0" t="s">
        <v>80</v>
      </c>
    </row>
    <row r="74" customFormat="false" ht="12.8" hidden="false" customHeight="false" outlineLevel="0" collapsed="false">
      <c r="A74" s="11" t="s">
        <v>82</v>
      </c>
      <c r="B74" s="0" t="n">
        <f aca="false">B72/1000</f>
        <v>0.785937358342916</v>
      </c>
      <c r="C74" s="0" t="s">
        <v>72</v>
      </c>
      <c r="D74" s="0" t="s">
        <v>72</v>
      </c>
      <c r="E74" s="0" t="s">
        <v>72</v>
      </c>
      <c r="F74" s="0" t="s">
        <v>72</v>
      </c>
      <c r="G74" s="0" t="s">
        <v>83</v>
      </c>
    </row>
    <row r="75" customFormat="false" ht="12.8" hidden="false" customHeight="false" outlineLevel="0" collapsed="false">
      <c r="A75" s="11" t="s">
        <v>84</v>
      </c>
      <c r="B75" s="0" t="n">
        <f aca="false">B73/1000</f>
        <v>0.256110787172012</v>
      </c>
      <c r="C75" s="0" t="n">
        <f aca="false">C73/1000</f>
        <v>0.102854505050706</v>
      </c>
      <c r="D75" s="0" t="n">
        <f aca="false">D73/1000</f>
        <v>0.158358395943664</v>
      </c>
      <c r="E75" s="0" t="n">
        <f aca="false">E73/1000</f>
        <v>0.854849368318756</v>
      </c>
      <c r="F75" s="0" t="n">
        <f aca="false">F73/1000</f>
        <v>0.04341017053197</v>
      </c>
      <c r="G75" s="0" t="s">
        <v>83</v>
      </c>
    </row>
    <row r="77" customFormat="false" ht="12.8" hidden="false" customHeight="false" outlineLevel="0" collapsed="false">
      <c r="A77" s="3" t="s">
        <v>85</v>
      </c>
      <c r="B77" s="14" t="n">
        <f aca="false">B72+B73</f>
        <v>1042.04814551493</v>
      </c>
      <c r="C77" s="14" t="n">
        <f aca="false">C73</f>
        <v>102.854505050706</v>
      </c>
      <c r="D77" s="14" t="n">
        <f aca="false">D73</f>
        <v>158.358395943664</v>
      </c>
      <c r="E77" s="14" t="n">
        <f aca="false">E73</f>
        <v>854.849368318756</v>
      </c>
      <c r="F77" s="14" t="n">
        <f aca="false">F73</f>
        <v>43.41017053197</v>
      </c>
      <c r="G77" s="0" t="s">
        <v>80</v>
      </c>
    </row>
    <row r="78" customFormat="false" ht="12.8" hidden="false" customHeight="false" outlineLevel="0" collapsed="false">
      <c r="A78" s="3" t="s">
        <v>86</v>
      </c>
      <c r="B78" s="14" t="n">
        <f aca="false">B74+B75</f>
        <v>1.04204814551493</v>
      </c>
      <c r="C78" s="14" t="n">
        <f aca="false">C75</f>
        <v>0.102854505050706</v>
      </c>
      <c r="D78" s="14" t="n">
        <f aca="false">D75</f>
        <v>0.158358395943664</v>
      </c>
      <c r="E78" s="14" t="n">
        <f aca="false">E75</f>
        <v>0.854849368318756</v>
      </c>
      <c r="F78" s="14" t="n">
        <f aca="false">F75</f>
        <v>0.04341017053197</v>
      </c>
      <c r="G78" s="0" t="s">
        <v>83</v>
      </c>
    </row>
  </sheetData>
  <hyperlinks>
    <hyperlink ref="A2" r:id="rId2" display="shinen.chew@gmail.com"/>
  </hyperlink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10777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2016-02-05T20:30:36Z</dcterms:created>
  <dc:language>en-US</dc:language>
  <dcterms:modified xsi:type="dcterms:W3CDTF">2016-02-06T01:12:04Z</dcterms:modified>
  <cp:revision>67</cp:revision>
</cp:coreProperties>
</file>